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F1AACC0-FA6E-44AC-9B2A-50AD66FB9BC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O34" i="1" l="1"/>
  <c r="O20" i="1"/>
  <c r="O18" i="1"/>
  <c r="O11" i="1"/>
  <c r="O8" i="1"/>
  <c r="G22" i="1"/>
  <c r="G20" i="1"/>
  <c r="G14" i="1"/>
  <c r="G13" i="1"/>
  <c r="C27" i="1"/>
  <c r="C13" i="1"/>
  <c r="K37" i="1" l="1"/>
  <c r="O33" i="1"/>
  <c r="O32" i="1"/>
  <c r="K36" i="1"/>
  <c r="K40" i="1"/>
  <c r="C39" i="1"/>
  <c r="C38" i="1"/>
  <c r="C37" i="1"/>
  <c r="O35" i="1"/>
  <c r="O37" i="1"/>
  <c r="G10" i="1"/>
  <c r="G8" i="1"/>
  <c r="K18" i="1"/>
  <c r="K19" i="1"/>
  <c r="K20" i="1"/>
  <c r="K21" i="1"/>
  <c r="K22" i="1"/>
  <c r="K23" i="1"/>
  <c r="K14" i="1"/>
  <c r="K13" i="1"/>
  <c r="K12" i="1"/>
  <c r="K11" i="1"/>
  <c r="K10" i="1"/>
  <c r="K9" i="1"/>
  <c r="K25" i="1"/>
  <c r="K28" i="1"/>
  <c r="K29" i="1"/>
  <c r="K30" i="1"/>
  <c r="K31" i="1"/>
  <c r="K32" i="1"/>
  <c r="K35" i="1"/>
  <c r="K38" i="1"/>
  <c r="K39" i="1"/>
  <c r="K41" i="1"/>
  <c r="K42" i="1"/>
  <c r="K43" i="1"/>
  <c r="O14" i="1"/>
  <c r="O6" i="1"/>
  <c r="O38" i="1"/>
  <c r="O31" i="1"/>
  <c r="O30" i="1"/>
  <c r="O29" i="1"/>
  <c r="O28" i="1"/>
  <c r="O27" i="1"/>
  <c r="O26" i="1"/>
  <c r="O25" i="1"/>
  <c r="O24" i="1"/>
  <c r="O23" i="1"/>
  <c r="O22" i="1"/>
  <c r="O21" i="1"/>
  <c r="O19" i="1"/>
  <c r="O17" i="1"/>
  <c r="O16" i="1"/>
  <c r="O15" i="1"/>
  <c r="O13" i="1"/>
  <c r="C14" i="1"/>
  <c r="C15" i="1"/>
  <c r="C16" i="1"/>
  <c r="C18" i="1"/>
  <c r="C19" i="1"/>
  <c r="C20" i="1"/>
  <c r="C21" i="1"/>
  <c r="C22" i="1"/>
  <c r="C23" i="1"/>
  <c r="C24" i="1"/>
  <c r="C25" i="1"/>
  <c r="C26" i="1"/>
  <c r="C30" i="1"/>
  <c r="C31" i="1"/>
  <c r="C32" i="1"/>
  <c r="C33" i="1"/>
  <c r="C34" i="1"/>
  <c r="C36" i="1"/>
  <c r="C40" i="1"/>
  <c r="O12" i="1"/>
  <c r="G19" i="1"/>
  <c r="K8" i="1"/>
  <c r="K7" i="1"/>
  <c r="K6" i="1"/>
  <c r="G44" i="1"/>
  <c r="G43" i="1"/>
  <c r="G42" i="1"/>
  <c r="G40" i="1"/>
  <c r="G39" i="1"/>
  <c r="G38" i="1"/>
  <c r="G36" i="1"/>
  <c r="G35" i="1"/>
  <c r="G34" i="1"/>
  <c r="G32" i="1"/>
  <c r="G31" i="1"/>
  <c r="G30" i="1"/>
  <c r="G25" i="1"/>
  <c r="G18" i="1"/>
  <c r="G17" i="1"/>
  <c r="G9" i="1"/>
  <c r="C9" i="1"/>
  <c r="C8" i="1"/>
  <c r="G26" i="1"/>
  <c r="G24" i="1"/>
  <c r="G15" i="1"/>
  <c r="G11" i="1"/>
  <c r="C10" i="1"/>
  <c r="C11" i="1"/>
  <c r="O9" i="1"/>
  <c r="O10" i="1"/>
  <c r="O7" i="1"/>
  <c r="G7" i="1"/>
  <c r="G6" i="1"/>
</calcChain>
</file>

<file path=xl/sharedStrings.xml><?xml version="1.0" encoding="utf-8"?>
<sst xmlns="http://schemas.openxmlformats.org/spreadsheetml/2006/main" count="122" uniqueCount="103">
  <si>
    <t>25х4</t>
  </si>
  <si>
    <t>32х4</t>
  </si>
  <si>
    <t>40х4</t>
  </si>
  <si>
    <t>20х20х1.5</t>
  </si>
  <si>
    <t>50х4</t>
  </si>
  <si>
    <t>50х5</t>
  </si>
  <si>
    <t>25х25х2,0</t>
  </si>
  <si>
    <t>63х5</t>
  </si>
  <si>
    <t>75х5</t>
  </si>
  <si>
    <t xml:space="preserve">40х20х1.5 </t>
  </si>
  <si>
    <t>100х7</t>
  </si>
  <si>
    <t>40х20х2,0</t>
  </si>
  <si>
    <t>125х8</t>
  </si>
  <si>
    <t>40х40х1,5</t>
  </si>
  <si>
    <t>50х50х1,5</t>
  </si>
  <si>
    <t>50х50х2,0</t>
  </si>
  <si>
    <t>60х30х2.0</t>
  </si>
  <si>
    <t>20х4</t>
  </si>
  <si>
    <t>100х100х3,0</t>
  </si>
  <si>
    <t>32х3.2</t>
  </si>
  <si>
    <t>16х1.5</t>
  </si>
  <si>
    <t xml:space="preserve">15х2.8 </t>
  </si>
  <si>
    <t>108х3,5</t>
  </si>
  <si>
    <t>ст 3</t>
  </si>
  <si>
    <t xml:space="preserve">60х40х2,0 </t>
  </si>
  <si>
    <t>80х60х2.0</t>
  </si>
  <si>
    <t>133х3.5</t>
  </si>
  <si>
    <t xml:space="preserve">60х40х1,75 </t>
  </si>
  <si>
    <t>8У/П</t>
  </si>
  <si>
    <t>3 (1,25х2,5)</t>
  </si>
  <si>
    <t>4 (1,5х6)</t>
  </si>
  <si>
    <t>5 (1,5х6)</t>
  </si>
  <si>
    <t xml:space="preserve">60х60х1,5 </t>
  </si>
  <si>
    <t>АРМАТУРА А500С</t>
  </si>
  <si>
    <t>УГОЛОК</t>
  </si>
  <si>
    <t>КРУГ</t>
  </si>
  <si>
    <t>КВАДРАТ</t>
  </si>
  <si>
    <t>ПОЛОСА</t>
  </si>
  <si>
    <t>ПРОВОЛОКА</t>
  </si>
  <si>
    <t>ШВЕЛЛЕР</t>
  </si>
  <si>
    <t xml:space="preserve">БАЛКА </t>
  </si>
  <si>
    <t>ЛИСТ Х/К - (1,25х2,5)</t>
  </si>
  <si>
    <t>ТРУБА ВГП</t>
  </si>
  <si>
    <t>ТРУБА ОЦИНК.</t>
  </si>
  <si>
    <t>6,5П</t>
  </si>
  <si>
    <t>4/5 свет</t>
  </si>
  <si>
    <t>ВР-1  3мм (прут 2м) - 15 руб.</t>
  </si>
  <si>
    <t>40х3.5</t>
  </si>
  <si>
    <t>25х25х1,5</t>
  </si>
  <si>
    <t>ТРУБА ЭЛ/СВ</t>
  </si>
  <si>
    <t>ТРУБА ПРОФ.</t>
  </si>
  <si>
    <t>ЛИСТ РИФ.</t>
  </si>
  <si>
    <t>м.п. розница</t>
  </si>
  <si>
    <t>шт. розница</t>
  </si>
  <si>
    <t>ЛИСТ ОЦИНК. (1,25х2,5)</t>
  </si>
  <si>
    <t>ЛИСТ Г/К (1,5х6)</t>
  </si>
  <si>
    <t>ЛИСТ Г/К (1,25х2,5)</t>
  </si>
  <si>
    <t>133х4.0</t>
  </si>
  <si>
    <t>159х4,0</t>
  </si>
  <si>
    <t>ПРОФНАСТИЛ - С20</t>
  </si>
  <si>
    <t>www.metalltver69.ru</t>
  </si>
  <si>
    <t>за 1 шт.</t>
  </si>
  <si>
    <t>57х3.5 (6м)</t>
  </si>
  <si>
    <t>ООО "ТД МеталлТрейд"</t>
  </si>
  <si>
    <t>г. Тверь, ул. Коняевская, д. 7, оф. 315</t>
  </si>
  <si>
    <t>тел. (4822) 74-45-20; 74-45-26; 77-61-60</t>
  </si>
  <si>
    <t>e-mail: metalltver69@mail.ru</t>
  </si>
  <si>
    <t>20х2.8</t>
  </si>
  <si>
    <t>20х20х2,0</t>
  </si>
  <si>
    <t>40х25х1,5</t>
  </si>
  <si>
    <t>40х25х2,0</t>
  </si>
  <si>
    <t>50х25х2,0</t>
  </si>
  <si>
    <t>60х60х2.0</t>
  </si>
  <si>
    <t xml:space="preserve">80х40х2.0 </t>
  </si>
  <si>
    <t>76х3.5</t>
  </si>
  <si>
    <t>89х3.5</t>
  </si>
  <si>
    <t>30х30х2,0</t>
  </si>
  <si>
    <t>60х40х3,0 заказ</t>
  </si>
  <si>
    <t>60х60х3.0заказ</t>
  </si>
  <si>
    <t>80х80х4,0 заказ</t>
  </si>
  <si>
    <t>100х100х4,0заказ</t>
  </si>
  <si>
    <t>12 6м</t>
  </si>
  <si>
    <t xml:space="preserve">40х40х3,0 </t>
  </si>
  <si>
    <t>114х4,0</t>
  </si>
  <si>
    <t xml:space="preserve">80х80х3.0 </t>
  </si>
  <si>
    <t>80х80х2,5</t>
  </si>
  <si>
    <t xml:space="preserve">57х3,5  </t>
  </si>
  <si>
    <t>15х2.8</t>
  </si>
  <si>
    <t>25х3,2</t>
  </si>
  <si>
    <t>15х15х1.5</t>
  </si>
  <si>
    <t>40х40х2,0</t>
  </si>
  <si>
    <t>50х25х1,5</t>
  </si>
  <si>
    <t>50х50х3,0</t>
  </si>
  <si>
    <t>10У</t>
  </si>
  <si>
    <t>0,35 (1,25х2,0)</t>
  </si>
  <si>
    <t>C8</t>
  </si>
  <si>
    <t>800р/шт</t>
  </si>
  <si>
    <t>гл./оцинк.</t>
  </si>
  <si>
    <t>C20</t>
  </si>
  <si>
    <t>1000р/шт</t>
  </si>
  <si>
    <t xml:space="preserve"> 950р/шт</t>
  </si>
  <si>
    <t>0,45 RAL 8017</t>
  </si>
  <si>
    <t>0,45 RAL 7035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</si>
</sst>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dd/mm/yy;@"/>
  </numFmts>
  <fonts count="14" x14ac:knownFonts="1">
    <font>
      <sz val="11"/>
      <color theme="1"/>
      <name val="Calibri"/>
      <family val="2"/>
      <charset val="204"/>
      <scheme val="minor"/>
    </font>
    <font>
      <b/>
      <sz val="8.5"/>
      <name val="Arial"/>
      <family val="2"/>
      <charset val="204"/>
    </font>
    <font>
      <sz val="8.5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.5"/>
      <name val="Arial"/>
      <family val="2"/>
      <charset val="204"/>
    </font>
    <font>
      <b/>
      <sz val="11"/>
      <color theme="1"/>
      <name val="Arial"/>
      <family val="2"/>
      <charset val="204"/>
    </font>
    <font>
      <sz val="8.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9"/>
      <name val="Arial"/>
      <family val="2"/>
      <charset val="204"/>
    </font>
    <font>
      <b/>
      <u/>
      <sz val="12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7" fillId="0" borderId="0" xfId="0" applyFont="1"/>
    <xf numFmtId="14" fontId="3" fillId="0" borderId="0" xfId="0" applyNumberFormat="1" applyFont="1" applyAlignment="1" applyProtection="1">
      <alignment vertical="center" textRotation="90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165" fontId="10" fillId="0" borderId="0" xfId="0" applyNumberFormat="1" applyFont="1" applyAlignment="1">
      <alignment vertical="center"/>
    </xf>
    <xf numFmtId="165" fontId="10" fillId="0" borderId="6" xfId="0" applyNumberFormat="1" applyFont="1" applyBorder="1" applyAlignment="1">
      <alignment vertical="center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164" fontId="4" fillId="0" borderId="1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164" fontId="4" fillId="0" borderId="1" xfId="0" applyNumberFormat="1" applyFont="1" applyFill="1" applyBorder="1" applyAlignment="1" applyProtection="1">
      <alignment horizontal="left" vertical="center"/>
      <protection hidden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/>
      <protection hidden="1"/>
    </xf>
    <xf numFmtId="164" fontId="4" fillId="3" borderId="1" xfId="0" applyNumberFormat="1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 applyProtection="1">
      <alignment horizontal="left" vertical="center"/>
      <protection hidden="1"/>
    </xf>
    <xf numFmtId="164" fontId="4" fillId="4" borderId="1" xfId="0" applyNumberFormat="1" applyFont="1" applyFill="1" applyBorder="1" applyAlignment="1" applyProtection="1">
      <alignment horizontal="left" vertical="center"/>
      <protection hidden="1"/>
    </xf>
    <xf numFmtId="0" fontId="4" fillId="4" borderId="1" xfId="0" applyFont="1" applyFill="1" applyBorder="1" applyAlignment="1" applyProtection="1">
      <alignment horizontal="left" vertical="center"/>
      <protection hidden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165" fontId="9" fillId="0" borderId="6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>
      <alignment horizontal="left" vertical="center" wrapText="1"/>
    </xf>
    <xf numFmtId="165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1" applyFont="1" applyAlignment="1" applyProtection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105834</xdr:colOff>
      <xdr:row>0</xdr:row>
      <xdr:rowOff>42334</xdr:rowOff>
    </xdr:from>
    <xdr:to>
      <xdr:col>0</xdr:col>
      <xdr:colOff>575158</xdr:colOff>
      <xdr:row>2</xdr:row>
      <xdr:rowOff>127000</xdr:rowOff>
    </xdr:to>
    <xdr:pic>
      <xdr:nvPicPr>
        <xdr:cNvPr id="2" name="Picture 2" descr="Безымянный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834" y="42334"/>
          <a:ext cx="469324" cy="423333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obliqueTopRight"/>
          <a:lightRig rig="threePt" dir="t"/>
        </a:scene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talltver69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0"/>
  <sheetViews>
    <sheetView tabSelected="1" zoomScale="90" zoomScaleNormal="90" workbookViewId="0">
      <selection activeCell="N4" sqref="N4"/>
    </sheetView>
  </sheetViews>
  <sheetFormatPr defaultRowHeight="15" x14ac:dyDescent="0.25"/>
  <cols>
    <col min="1" max="1" width="9.7109375" customWidth="1"/>
    <col min="2" max="2" width="8.7109375" customWidth="1"/>
    <col min="3" max="3" width="11.7109375" customWidth="1"/>
    <col min="4" max="4" width="1.7109375" customWidth="1"/>
    <col min="5" max="5" width="9.7109375" customWidth="1"/>
    <col min="6" max="6" width="8.7109375" customWidth="1"/>
    <col min="7" max="7" width="11.7109375" customWidth="1"/>
    <col min="8" max="8" width="1.7109375" customWidth="1"/>
    <col min="9" max="9" width="10.7109375" customWidth="1"/>
    <col min="10" max="10" width="8.7109375" customWidth="1"/>
    <col min="11" max="11" width="11.7109375" customWidth="1"/>
    <col min="12" max="12" width="1.7109375" customWidth="1"/>
    <col min="13" max="13" width="12.85546875" customWidth="1"/>
    <col min="14" max="14" width="8.7109375" customWidth="1"/>
    <col min="15" max="15" width="11.7109375" customWidth="1"/>
    <col min="16" max="16" width="1.7109375" customWidth="1"/>
  </cols>
  <sheetData>
    <row r="1" spans="1:31" ht="13.5" customHeight="1" x14ac:dyDescent="0.25">
      <c r="A1" s="17"/>
      <c r="B1" s="79" t="s">
        <v>63</v>
      </c>
      <c r="C1" s="79"/>
      <c r="D1" s="79"/>
      <c r="E1" s="79"/>
      <c r="F1" s="79"/>
      <c r="G1" s="79"/>
      <c r="H1" s="50"/>
      <c r="I1" s="80" t="s">
        <v>65</v>
      </c>
      <c r="J1" s="80"/>
      <c r="K1" s="80"/>
      <c r="L1" s="80"/>
      <c r="M1" s="80"/>
      <c r="N1" s="75">
        <v>45127</v>
      </c>
      <c r="O1" s="76"/>
      <c r="P1" s="9"/>
      <c r="Q1" s="9"/>
    </row>
    <row r="2" spans="1:31" ht="13.5" customHeight="1" x14ac:dyDescent="0.25">
      <c r="A2" s="17"/>
      <c r="B2" s="79" t="s">
        <v>64</v>
      </c>
      <c r="C2" s="79"/>
      <c r="D2" s="79"/>
      <c r="E2" s="79"/>
      <c r="F2" s="79"/>
      <c r="G2" s="79"/>
      <c r="H2" s="51"/>
      <c r="I2" s="80" t="s">
        <v>66</v>
      </c>
      <c r="J2" s="80"/>
      <c r="K2" s="80"/>
      <c r="L2" s="80"/>
      <c r="M2" s="80"/>
      <c r="N2" s="76"/>
      <c r="O2" s="76"/>
      <c r="P2" s="9"/>
      <c r="Q2" s="9"/>
    </row>
    <row r="3" spans="1:31" ht="13.5" customHeight="1" x14ac:dyDescent="0.25">
      <c r="A3" s="17"/>
      <c r="B3" s="52"/>
      <c r="C3" s="50"/>
      <c r="D3" s="50"/>
      <c r="E3" s="50"/>
      <c r="F3" s="50"/>
      <c r="G3" s="50"/>
      <c r="H3" s="50"/>
      <c r="I3" s="81" t="s">
        <v>60</v>
      </c>
      <c r="J3" s="80"/>
      <c r="K3" s="80"/>
      <c r="L3" s="80"/>
      <c r="M3" s="80"/>
      <c r="N3" s="76"/>
      <c r="O3" s="76"/>
      <c r="P3" s="9"/>
      <c r="Q3" s="9"/>
    </row>
    <row r="4" spans="1:31" ht="13.5" customHeight="1" x14ac:dyDescent="0.25">
      <c r="A4" s="18"/>
      <c r="B4" s="53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13"/>
      <c r="O4" s="13"/>
      <c r="P4" s="9"/>
      <c r="Q4" s="9"/>
    </row>
    <row r="5" spans="1:31" ht="11.65" customHeight="1" x14ac:dyDescent="0.25">
      <c r="A5" s="77"/>
      <c r="B5" s="77"/>
      <c r="C5" s="19"/>
      <c r="D5" s="20"/>
      <c r="E5" s="77" t="s">
        <v>34</v>
      </c>
      <c r="F5" s="77"/>
      <c r="G5" s="19" t="s">
        <v>52</v>
      </c>
      <c r="H5" s="20"/>
      <c r="I5" s="78" t="s">
        <v>55</v>
      </c>
      <c r="J5" s="78"/>
      <c r="K5" s="21" t="s">
        <v>53</v>
      </c>
      <c r="L5" s="22"/>
      <c r="M5" s="77" t="s">
        <v>50</v>
      </c>
      <c r="N5" s="77"/>
      <c r="O5" s="19" t="s">
        <v>52</v>
      </c>
      <c r="P5" s="2"/>
      <c r="Q5" s="3"/>
    </row>
    <row r="6" spans="1:31" ht="11.65" customHeight="1" x14ac:dyDescent="0.25">
      <c r="A6" s="26"/>
      <c r="B6" s="27"/>
      <c r="C6" s="28"/>
      <c r="D6" s="20"/>
      <c r="E6" s="26" t="s">
        <v>0</v>
      </c>
      <c r="F6" s="27">
        <v>78000</v>
      </c>
      <c r="G6" s="28">
        <f>F6*1.5/1000</f>
        <v>117</v>
      </c>
      <c r="H6" s="20"/>
      <c r="I6" s="29">
        <v>4</v>
      </c>
      <c r="J6" s="30">
        <v>80000</v>
      </c>
      <c r="K6" s="31">
        <f>J6*290/1000</f>
        <v>23200</v>
      </c>
      <c r="L6" s="22"/>
      <c r="M6" s="23" t="s">
        <v>89</v>
      </c>
      <c r="N6" s="27">
        <v>88000</v>
      </c>
      <c r="O6" s="25">
        <f>N6*0.65/1000</f>
        <v>57.2</v>
      </c>
      <c r="P6" s="2"/>
      <c r="Q6" s="3"/>
    </row>
    <row r="7" spans="1:31" ht="11.65" customHeight="1" x14ac:dyDescent="0.25">
      <c r="A7" s="77" t="s">
        <v>33</v>
      </c>
      <c r="B7" s="77"/>
      <c r="C7" s="19" t="s">
        <v>52</v>
      </c>
      <c r="D7" s="20"/>
      <c r="E7" s="26" t="s">
        <v>1</v>
      </c>
      <c r="F7" s="27">
        <v>76000</v>
      </c>
      <c r="G7" s="28">
        <f>F7*2/1000</f>
        <v>152</v>
      </c>
      <c r="H7" s="20"/>
      <c r="I7" s="29">
        <v>5</v>
      </c>
      <c r="J7" s="30">
        <v>80000</v>
      </c>
      <c r="K7" s="31">
        <f>J7*360/1000</f>
        <v>28800</v>
      </c>
      <c r="L7" s="22"/>
      <c r="M7" s="23" t="s">
        <v>3</v>
      </c>
      <c r="N7" s="27">
        <v>87000</v>
      </c>
      <c r="O7" s="25">
        <f>N7*0.9/1000</f>
        <v>78.3</v>
      </c>
      <c r="P7" s="2"/>
      <c r="Q7" s="3"/>
    </row>
    <row r="8" spans="1:31" ht="11.65" customHeight="1" x14ac:dyDescent="0.25">
      <c r="A8" s="23">
        <v>6</v>
      </c>
      <c r="B8" s="24">
        <v>67000</v>
      </c>
      <c r="C8" s="25">
        <f>B8*0.25/1000</f>
        <v>16.75</v>
      </c>
      <c r="D8" s="20"/>
      <c r="E8" s="26" t="s">
        <v>2</v>
      </c>
      <c r="F8" s="27">
        <v>69000</v>
      </c>
      <c r="G8" s="28">
        <f>F8*2.56/1000</f>
        <v>176.64</v>
      </c>
      <c r="H8" s="20"/>
      <c r="I8" s="29">
        <v>6</v>
      </c>
      <c r="J8" s="30">
        <v>80000</v>
      </c>
      <c r="K8" s="31">
        <f>J8*425/1000</f>
        <v>34000</v>
      </c>
      <c r="L8" s="22"/>
      <c r="M8" s="23" t="s">
        <v>68</v>
      </c>
      <c r="N8" s="27">
        <v>78000</v>
      </c>
      <c r="O8" s="25">
        <f>N8*1.1/1000</f>
        <v>85.8</v>
      </c>
      <c r="P8" s="2"/>
      <c r="Q8" s="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11.65" customHeight="1" x14ac:dyDescent="0.25">
      <c r="A9" s="23">
        <v>8</v>
      </c>
      <c r="B9" s="24">
        <v>67000</v>
      </c>
      <c r="C9" s="25">
        <f>B9*0.42/1000</f>
        <v>28.14</v>
      </c>
      <c r="D9" s="20"/>
      <c r="E9" s="26" t="s">
        <v>4</v>
      </c>
      <c r="F9" s="27">
        <v>69000</v>
      </c>
      <c r="G9" s="28">
        <f>F9*3.275/1000</f>
        <v>225.97499999999999</v>
      </c>
      <c r="H9" s="20"/>
      <c r="I9" s="29">
        <v>8</v>
      </c>
      <c r="J9" s="30">
        <v>80000</v>
      </c>
      <c r="K9" s="31">
        <f>J9*566/1000</f>
        <v>45280</v>
      </c>
      <c r="L9" s="22"/>
      <c r="M9" s="23" t="s">
        <v>48</v>
      </c>
      <c r="N9" s="27">
        <v>87000</v>
      </c>
      <c r="O9" s="25">
        <f>N9*1.17/1000</f>
        <v>101.79</v>
      </c>
      <c r="P9" s="2"/>
      <c r="Q9" s="3"/>
    </row>
    <row r="10" spans="1:31" ht="11.65" customHeight="1" x14ac:dyDescent="0.25">
      <c r="A10" s="23">
        <v>10</v>
      </c>
      <c r="B10" s="24">
        <v>64500</v>
      </c>
      <c r="C10" s="25">
        <f>B10*0.648/1000</f>
        <v>41.795999999999999</v>
      </c>
      <c r="D10" s="20"/>
      <c r="E10" s="32" t="s">
        <v>5</v>
      </c>
      <c r="F10" s="27">
        <v>69000</v>
      </c>
      <c r="G10" s="33">
        <f>F10*3.87/1000</f>
        <v>267.02999999999997</v>
      </c>
      <c r="H10" s="20"/>
      <c r="I10" s="29">
        <v>10</v>
      </c>
      <c r="J10" s="30">
        <v>80000</v>
      </c>
      <c r="K10" s="31">
        <f>J10*710/1000</f>
        <v>56800</v>
      </c>
      <c r="L10" s="22"/>
      <c r="M10" s="23" t="s">
        <v>6</v>
      </c>
      <c r="N10" s="27">
        <v>78000</v>
      </c>
      <c r="O10" s="25">
        <f>N10*1.45/1000</f>
        <v>113.1</v>
      </c>
      <c r="P10" s="2"/>
      <c r="Q10" s="3"/>
    </row>
    <row r="11" spans="1:31" ht="11.65" customHeight="1" x14ac:dyDescent="0.25">
      <c r="A11" s="23">
        <v>12</v>
      </c>
      <c r="B11" s="24">
        <v>60000</v>
      </c>
      <c r="C11" s="25">
        <f>B11*0.92/1000</f>
        <v>55.2</v>
      </c>
      <c r="D11" s="20"/>
      <c r="E11" s="26" t="s">
        <v>7</v>
      </c>
      <c r="F11" s="27">
        <v>69000</v>
      </c>
      <c r="G11" s="28">
        <f>F11*5.05/1000</f>
        <v>348.45</v>
      </c>
      <c r="H11" s="20"/>
      <c r="I11" s="29">
        <v>12</v>
      </c>
      <c r="J11" s="30">
        <v>80000</v>
      </c>
      <c r="K11" s="31">
        <f>J11*850/1000</f>
        <v>68000</v>
      </c>
      <c r="L11" s="22"/>
      <c r="M11" s="26" t="s">
        <v>76</v>
      </c>
      <c r="N11" s="27">
        <v>78000</v>
      </c>
      <c r="O11" s="28">
        <f>N11*1.7/1000</f>
        <v>132.6</v>
      </c>
      <c r="P11" s="2"/>
      <c r="Q11" s="3"/>
    </row>
    <row r="12" spans="1:31" ht="11.65" customHeight="1" x14ac:dyDescent="0.25">
      <c r="A12" s="23"/>
      <c r="B12" s="24"/>
      <c r="C12" s="28"/>
      <c r="D12" s="20"/>
      <c r="E12" s="45"/>
      <c r="F12" s="43"/>
      <c r="G12" s="44"/>
      <c r="H12" s="20"/>
      <c r="I12" s="29">
        <v>14</v>
      </c>
      <c r="J12" s="30">
        <v>80000</v>
      </c>
      <c r="K12" s="31">
        <f>J12*990/1000</f>
        <v>79200</v>
      </c>
      <c r="L12" s="22"/>
      <c r="M12" s="26" t="s">
        <v>9</v>
      </c>
      <c r="N12" s="27">
        <v>87000</v>
      </c>
      <c r="O12" s="28">
        <f>N12*1.35/1000</f>
        <v>117.45000000000002</v>
      </c>
      <c r="P12" s="2"/>
      <c r="Q12" s="3"/>
    </row>
    <row r="13" spans="1:31" ht="11.65" customHeight="1" x14ac:dyDescent="0.25">
      <c r="A13" s="23">
        <v>14</v>
      </c>
      <c r="B13" s="24">
        <v>61000</v>
      </c>
      <c r="C13" s="28">
        <f>B13*1.25/1000</f>
        <v>76.25</v>
      </c>
      <c r="D13" s="20"/>
      <c r="E13" s="26" t="s">
        <v>8</v>
      </c>
      <c r="F13" s="27">
        <v>76000</v>
      </c>
      <c r="G13" s="28">
        <f>F13*5.8/1000</f>
        <v>440.8</v>
      </c>
      <c r="H13" s="20"/>
      <c r="I13" s="29">
        <v>16</v>
      </c>
      <c r="J13" s="30">
        <v>80000</v>
      </c>
      <c r="K13" s="31">
        <f>J13*1160/1000</f>
        <v>92800</v>
      </c>
      <c r="L13" s="22"/>
      <c r="M13" s="23" t="s">
        <v>11</v>
      </c>
      <c r="N13" s="27">
        <v>79000</v>
      </c>
      <c r="O13" s="25">
        <f>N13*1.75/1000</f>
        <v>138.25</v>
      </c>
      <c r="P13" s="2"/>
      <c r="Q13" s="3"/>
    </row>
    <row r="14" spans="1:31" ht="11.65" customHeight="1" x14ac:dyDescent="0.25">
      <c r="A14" s="23">
        <v>16</v>
      </c>
      <c r="B14" s="24">
        <v>61000</v>
      </c>
      <c r="C14" s="25">
        <f>B14*1.7/1000</f>
        <v>103.7</v>
      </c>
      <c r="D14" s="20"/>
      <c r="E14" s="26" t="s">
        <v>10</v>
      </c>
      <c r="F14" s="27">
        <v>76000</v>
      </c>
      <c r="G14" s="28">
        <f>F14*11.07/1000</f>
        <v>841.32</v>
      </c>
      <c r="H14" s="20"/>
      <c r="I14" s="29">
        <v>20</v>
      </c>
      <c r="J14" s="30">
        <v>90000</v>
      </c>
      <c r="K14" s="31">
        <f>J14*1450/1000</f>
        <v>130500</v>
      </c>
      <c r="L14" s="22"/>
      <c r="M14" s="23" t="s">
        <v>69</v>
      </c>
      <c r="N14" s="27">
        <v>86000</v>
      </c>
      <c r="O14" s="25">
        <f>N14*1.45/1000</f>
        <v>124.7</v>
      </c>
      <c r="P14" s="2"/>
      <c r="Q14" s="3"/>
    </row>
    <row r="15" spans="1:31" ht="11.65" customHeight="1" x14ac:dyDescent="0.25">
      <c r="A15" s="23">
        <v>18</v>
      </c>
      <c r="B15" s="24">
        <v>61000</v>
      </c>
      <c r="C15" s="25">
        <f>B15*2.1/1000</f>
        <v>128.1</v>
      </c>
      <c r="D15" s="20"/>
      <c r="E15" s="26" t="s">
        <v>12</v>
      </c>
      <c r="F15" s="27">
        <v>76000</v>
      </c>
      <c r="G15" s="28">
        <f>F15*15.6/1000</f>
        <v>1185.5999999999999</v>
      </c>
      <c r="H15" s="20"/>
      <c r="I15" s="29"/>
      <c r="J15" s="30"/>
      <c r="K15" s="31"/>
      <c r="L15" s="22"/>
      <c r="M15" s="23" t="s">
        <v>70</v>
      </c>
      <c r="N15" s="27">
        <v>78000</v>
      </c>
      <c r="O15" s="25">
        <f>N15*1.95/1000</f>
        <v>152.1</v>
      </c>
      <c r="P15" s="2"/>
      <c r="Q15" s="3"/>
    </row>
    <row r="16" spans="1:31" ht="11.65" customHeight="1" x14ac:dyDescent="0.25">
      <c r="A16" s="23">
        <v>20</v>
      </c>
      <c r="B16" s="24">
        <v>61000</v>
      </c>
      <c r="C16" s="25">
        <f>B16*2.65/1000</f>
        <v>161.65</v>
      </c>
      <c r="D16" s="20"/>
      <c r="E16" s="60" t="s">
        <v>39</v>
      </c>
      <c r="F16" s="61"/>
      <c r="G16" s="34" t="s">
        <v>52</v>
      </c>
      <c r="H16" s="20"/>
      <c r="I16" s="70" t="s">
        <v>54</v>
      </c>
      <c r="J16" s="71"/>
      <c r="K16" s="34" t="s">
        <v>53</v>
      </c>
      <c r="L16" s="22"/>
      <c r="M16" s="23" t="s">
        <v>13</v>
      </c>
      <c r="N16" s="27">
        <v>86000</v>
      </c>
      <c r="O16" s="25">
        <f>N16*1.8/1000</f>
        <v>154.80000000000001</v>
      </c>
      <c r="P16" s="2"/>
      <c r="Q16" s="3"/>
    </row>
    <row r="17" spans="1:17" ht="11.65" customHeight="1" x14ac:dyDescent="0.25">
      <c r="A17" s="72" t="s">
        <v>35</v>
      </c>
      <c r="B17" s="73"/>
      <c r="C17" s="19" t="s">
        <v>52</v>
      </c>
      <c r="D17" s="20"/>
      <c r="E17" s="35" t="s">
        <v>44</v>
      </c>
      <c r="F17" s="36">
        <v>86000</v>
      </c>
      <c r="G17" s="31">
        <f>F17*6.2/1000</f>
        <v>533.20000000000005</v>
      </c>
      <c r="H17" s="20"/>
      <c r="I17" s="29"/>
      <c r="J17" s="30"/>
      <c r="K17" s="31"/>
      <c r="L17" s="22"/>
      <c r="M17" s="23" t="s">
        <v>90</v>
      </c>
      <c r="N17" s="27">
        <v>78000</v>
      </c>
      <c r="O17" s="25">
        <f>N17*2.4/1000</f>
        <v>187.2</v>
      </c>
      <c r="P17" s="2"/>
      <c r="Q17" s="3"/>
    </row>
    <row r="18" spans="1:17" ht="11.65" customHeight="1" x14ac:dyDescent="0.25">
      <c r="A18" s="23">
        <v>6</v>
      </c>
      <c r="B18" s="24">
        <v>66000</v>
      </c>
      <c r="C18" s="25">
        <f>B18*0.25/1000</f>
        <v>16.5</v>
      </c>
      <c r="D18" s="20"/>
      <c r="E18" s="37" t="s">
        <v>28</v>
      </c>
      <c r="F18" s="36">
        <v>80000</v>
      </c>
      <c r="G18" s="31">
        <f>F18*7.15/1000</f>
        <v>572</v>
      </c>
      <c r="H18" s="20"/>
      <c r="I18" s="29">
        <v>0.55000000000000004</v>
      </c>
      <c r="J18" s="30">
        <v>97000</v>
      </c>
      <c r="K18" s="31">
        <f>J18*14.5/1000</f>
        <v>1406.5</v>
      </c>
      <c r="L18" s="22"/>
      <c r="M18" s="23" t="s">
        <v>82</v>
      </c>
      <c r="N18" s="27">
        <v>72000</v>
      </c>
      <c r="O18" s="25">
        <f>N18*3.5/1000</f>
        <v>252</v>
      </c>
      <c r="P18" s="2"/>
      <c r="Q18" s="3"/>
    </row>
    <row r="19" spans="1:17" ht="11.65" customHeight="1" x14ac:dyDescent="0.25">
      <c r="A19" s="23">
        <v>8</v>
      </c>
      <c r="B19" s="24">
        <v>66000</v>
      </c>
      <c r="C19" s="25">
        <f>B19*0.43/1000</f>
        <v>28.38</v>
      </c>
      <c r="D19" s="20"/>
      <c r="E19" s="37" t="s">
        <v>93</v>
      </c>
      <c r="F19" s="36">
        <v>78000</v>
      </c>
      <c r="G19" s="31">
        <f>F19*9/1000</f>
        <v>702</v>
      </c>
      <c r="H19" s="20"/>
      <c r="I19" s="29">
        <v>0.7</v>
      </c>
      <c r="J19" s="30">
        <v>97000</v>
      </c>
      <c r="K19" s="31">
        <f>J19*18.5/1000</f>
        <v>1794.5</v>
      </c>
      <c r="L19" s="22"/>
      <c r="M19" s="23" t="s">
        <v>91</v>
      </c>
      <c r="N19" s="27">
        <v>87000</v>
      </c>
      <c r="O19" s="25">
        <f>N19*1.75/1000</f>
        <v>152.25</v>
      </c>
      <c r="P19" s="2"/>
      <c r="Q19" s="3"/>
    </row>
    <row r="20" spans="1:17" ht="11.65" customHeight="1" x14ac:dyDescent="0.25">
      <c r="A20" s="23">
        <v>10</v>
      </c>
      <c r="B20" s="24">
        <v>66000</v>
      </c>
      <c r="C20" s="25">
        <f>B20*0.64/1000</f>
        <v>42.24</v>
      </c>
      <c r="D20" s="20"/>
      <c r="E20" s="37" t="s">
        <v>81</v>
      </c>
      <c r="F20" s="36">
        <v>84000</v>
      </c>
      <c r="G20" s="31">
        <f>F20*10.7/1000</f>
        <v>898.79999999999984</v>
      </c>
      <c r="H20" s="20"/>
      <c r="I20" s="29">
        <v>0.8</v>
      </c>
      <c r="J20" s="30">
        <v>93000</v>
      </c>
      <c r="K20" s="31">
        <f>J20*20/1000</f>
        <v>1860</v>
      </c>
      <c r="L20" s="22"/>
      <c r="M20" s="23" t="s">
        <v>71</v>
      </c>
      <c r="N20" s="27">
        <v>78000</v>
      </c>
      <c r="O20" s="25">
        <f>N20*2.2/1000</f>
        <v>171.6</v>
      </c>
      <c r="P20" s="2"/>
      <c r="Q20" s="3"/>
    </row>
    <row r="21" spans="1:17" ht="11.65" customHeight="1" x14ac:dyDescent="0.25">
      <c r="A21" s="23">
        <v>12</v>
      </c>
      <c r="B21" s="24">
        <v>78000</v>
      </c>
      <c r="C21" s="25">
        <f>B21*0.92/1000</f>
        <v>71.760000000000005</v>
      </c>
      <c r="D21" s="20"/>
      <c r="E21" s="37">
        <v>14</v>
      </c>
      <c r="F21" s="36">
        <v>84000</v>
      </c>
      <c r="G21" s="31">
        <f>F21*12.8/1000</f>
        <v>1075.2</v>
      </c>
      <c r="H21" s="20"/>
      <c r="I21" s="38">
        <v>1</v>
      </c>
      <c r="J21" s="36">
        <v>93000</v>
      </c>
      <c r="K21" s="39">
        <f>J21*26/1000</f>
        <v>2418</v>
      </c>
      <c r="L21" s="22"/>
      <c r="M21" s="23" t="s">
        <v>14</v>
      </c>
      <c r="N21" s="27">
        <v>86000</v>
      </c>
      <c r="O21" s="25">
        <f>N21*2.3/1000</f>
        <v>197.79999999999998</v>
      </c>
      <c r="P21" s="2"/>
      <c r="Q21" s="3"/>
    </row>
    <row r="22" spans="1:17" ht="11.65" customHeight="1" x14ac:dyDescent="0.25">
      <c r="A22" s="23">
        <v>14</v>
      </c>
      <c r="B22" s="24">
        <v>69500</v>
      </c>
      <c r="C22" s="25">
        <f>B22*1.25/1000</f>
        <v>86.875</v>
      </c>
      <c r="D22" s="20"/>
      <c r="E22" s="37">
        <v>16</v>
      </c>
      <c r="F22" s="36">
        <v>84000</v>
      </c>
      <c r="G22" s="31">
        <f>F22*14.9/1000</f>
        <v>1251.5999999999999</v>
      </c>
      <c r="H22" s="20"/>
      <c r="I22" s="38">
        <v>1.2</v>
      </c>
      <c r="J22" s="37">
        <v>93000</v>
      </c>
      <c r="K22" s="39">
        <f>J22*30/1000</f>
        <v>2790</v>
      </c>
      <c r="L22" s="22"/>
      <c r="M22" s="23" t="s">
        <v>15</v>
      </c>
      <c r="N22" s="27">
        <v>78000</v>
      </c>
      <c r="O22" s="25">
        <f>N22*3/1000</f>
        <v>234</v>
      </c>
      <c r="P22" s="2"/>
      <c r="Q22" s="3"/>
    </row>
    <row r="23" spans="1:17" ht="11.65" customHeight="1" x14ac:dyDescent="0.25">
      <c r="A23" s="23">
        <v>16</v>
      </c>
      <c r="B23" s="24">
        <v>69500</v>
      </c>
      <c r="C23" s="25">
        <f>B23*1.63/1000</f>
        <v>113.28499999999998</v>
      </c>
      <c r="D23" s="20"/>
      <c r="E23" s="37"/>
      <c r="F23" s="36"/>
      <c r="G23" s="31"/>
      <c r="H23" s="20"/>
      <c r="I23" s="37">
        <v>1.5</v>
      </c>
      <c r="J23" s="36">
        <v>93000</v>
      </c>
      <c r="K23" s="40">
        <f>J23*40/1000</f>
        <v>3720</v>
      </c>
      <c r="L23" s="22"/>
      <c r="M23" s="23" t="s">
        <v>92</v>
      </c>
      <c r="N23" s="27">
        <v>72000</v>
      </c>
      <c r="O23" s="25">
        <f>N23*4.32/1000</f>
        <v>311.04000000000002</v>
      </c>
      <c r="P23" s="2"/>
      <c r="Q23" s="3"/>
    </row>
    <row r="24" spans="1:17" ht="11.65" customHeight="1" x14ac:dyDescent="0.25">
      <c r="A24" s="23">
        <v>18</v>
      </c>
      <c r="B24" s="24">
        <v>69500</v>
      </c>
      <c r="C24" s="25">
        <f>B24*2.1/1000</f>
        <v>145.94999999999999</v>
      </c>
      <c r="D24" s="20"/>
      <c r="E24" s="37">
        <v>18</v>
      </c>
      <c r="F24" s="36">
        <v>86000</v>
      </c>
      <c r="G24" s="31">
        <f>F24*16.7/1000</f>
        <v>1436.2</v>
      </c>
      <c r="H24" s="20"/>
      <c r="I24" s="70" t="s">
        <v>43</v>
      </c>
      <c r="J24" s="71"/>
      <c r="K24" s="54" t="s">
        <v>52</v>
      </c>
      <c r="L24" s="22"/>
      <c r="M24" s="23" t="s">
        <v>16</v>
      </c>
      <c r="N24" s="27">
        <v>78000</v>
      </c>
      <c r="O24" s="25">
        <f>N24*2.8/1000</f>
        <v>218.4</v>
      </c>
      <c r="P24" s="2"/>
      <c r="Q24" s="3"/>
    </row>
    <row r="25" spans="1:17" ht="11.65" customHeight="1" x14ac:dyDescent="0.25">
      <c r="A25" s="23">
        <v>20</v>
      </c>
      <c r="B25" s="24">
        <v>69500</v>
      </c>
      <c r="C25" s="25">
        <f>B25*2.5/1000</f>
        <v>173.75</v>
      </c>
      <c r="D25" s="20"/>
      <c r="E25" s="37">
        <v>20</v>
      </c>
      <c r="F25" s="36">
        <v>119000</v>
      </c>
      <c r="G25" s="31">
        <f>F25*18.5/1000</f>
        <v>2201.5</v>
      </c>
      <c r="H25" s="20"/>
      <c r="I25" s="41" t="s">
        <v>21</v>
      </c>
      <c r="J25" s="41">
        <v>50000</v>
      </c>
      <c r="K25" s="42">
        <f>J25*1.3/1000</f>
        <v>65</v>
      </c>
      <c r="L25" s="22"/>
      <c r="M25" s="23" t="s">
        <v>27</v>
      </c>
      <c r="N25" s="27">
        <v>67000</v>
      </c>
      <c r="O25" s="25">
        <f>N25*2.7/1000</f>
        <v>180.9</v>
      </c>
      <c r="P25" s="2"/>
      <c r="Q25" s="3"/>
    </row>
    <row r="26" spans="1:17" ht="11.65" customHeight="1" x14ac:dyDescent="0.25">
      <c r="A26" s="23">
        <v>25</v>
      </c>
      <c r="B26" s="24">
        <v>69500</v>
      </c>
      <c r="C26" s="25">
        <f>B26*4.1/1000</f>
        <v>284.95</v>
      </c>
      <c r="D26" s="20"/>
      <c r="E26" s="37">
        <v>22</v>
      </c>
      <c r="F26" s="36">
        <v>119000</v>
      </c>
      <c r="G26" s="31">
        <f>F26*22/1000</f>
        <v>2618</v>
      </c>
      <c r="H26" s="20"/>
      <c r="I26" s="37" t="s">
        <v>62</v>
      </c>
      <c r="J26" s="37" t="s">
        <v>61</v>
      </c>
      <c r="K26" s="39">
        <v>3900</v>
      </c>
      <c r="L26" s="22"/>
      <c r="M26" s="23" t="s">
        <v>24</v>
      </c>
      <c r="N26" s="27">
        <v>78000</v>
      </c>
      <c r="O26" s="25">
        <f>N26*3/1000</f>
        <v>234</v>
      </c>
      <c r="P26" s="2"/>
      <c r="Q26" s="3"/>
    </row>
    <row r="27" spans="1:17" ht="11.65" customHeight="1" x14ac:dyDescent="0.25">
      <c r="A27" s="23">
        <v>30</v>
      </c>
      <c r="B27" s="24">
        <v>69500</v>
      </c>
      <c r="C27" s="25">
        <f>B27*6.25/1000</f>
        <v>434.375</v>
      </c>
      <c r="D27" s="20"/>
      <c r="E27" s="58" t="s">
        <v>40</v>
      </c>
      <c r="F27" s="59"/>
      <c r="G27" s="19" t="s">
        <v>52</v>
      </c>
      <c r="H27" s="20"/>
      <c r="I27" s="70" t="s">
        <v>42</v>
      </c>
      <c r="J27" s="71"/>
      <c r="K27" s="34" t="s">
        <v>52</v>
      </c>
      <c r="L27" s="22"/>
      <c r="M27" s="23" t="s">
        <v>77</v>
      </c>
      <c r="N27" s="27">
        <v>75000</v>
      </c>
      <c r="O27" s="25">
        <f>N27*4.35/1000</f>
        <v>326.25</v>
      </c>
      <c r="P27" s="2"/>
      <c r="Q27" s="3"/>
    </row>
    <row r="28" spans="1:17" ht="11.65" customHeight="1" x14ac:dyDescent="0.25">
      <c r="A28" s="55"/>
      <c r="B28" s="27"/>
      <c r="C28" s="28"/>
      <c r="D28" s="20"/>
      <c r="E28" s="45"/>
      <c r="F28" s="45"/>
      <c r="G28" s="44"/>
      <c r="H28" s="20"/>
      <c r="I28" s="46" t="s">
        <v>87</v>
      </c>
      <c r="J28" s="36">
        <v>76000</v>
      </c>
      <c r="K28" s="31">
        <f>J28*1.3/1000</f>
        <v>98.8</v>
      </c>
      <c r="L28" s="22"/>
      <c r="M28" s="23" t="s">
        <v>32</v>
      </c>
      <c r="N28" s="27">
        <v>86000</v>
      </c>
      <c r="O28" s="25">
        <f>N28*2.8/1000</f>
        <v>240.79999999999998</v>
      </c>
      <c r="P28" s="2"/>
      <c r="Q28" s="3"/>
    </row>
    <row r="29" spans="1:17" ht="11.65" customHeight="1" x14ac:dyDescent="0.25">
      <c r="A29" s="72" t="s">
        <v>36</v>
      </c>
      <c r="B29" s="73"/>
      <c r="C29" s="19" t="s">
        <v>52</v>
      </c>
      <c r="D29" s="20"/>
      <c r="E29" s="58" t="s">
        <v>41</v>
      </c>
      <c r="F29" s="59"/>
      <c r="G29" s="19" t="s">
        <v>53</v>
      </c>
      <c r="H29" s="20"/>
      <c r="I29" s="46" t="s">
        <v>67</v>
      </c>
      <c r="J29" s="36">
        <v>75000</v>
      </c>
      <c r="K29" s="31">
        <f>J29*1.69/1000</f>
        <v>126.75</v>
      </c>
      <c r="L29" s="22"/>
      <c r="M29" s="23" t="s">
        <v>72</v>
      </c>
      <c r="N29" s="27">
        <v>78000</v>
      </c>
      <c r="O29" s="25">
        <f>N29*3.65/1000</f>
        <v>284.7</v>
      </c>
      <c r="P29" s="2"/>
      <c r="Q29" s="3"/>
    </row>
    <row r="30" spans="1:17" ht="11.65" customHeight="1" x14ac:dyDescent="0.25">
      <c r="A30" s="23">
        <v>10</v>
      </c>
      <c r="B30" s="24">
        <v>73000</v>
      </c>
      <c r="C30" s="25">
        <f>B30*0.83/1000</f>
        <v>60.59</v>
      </c>
      <c r="D30" s="20"/>
      <c r="E30" s="29">
        <v>0.8</v>
      </c>
      <c r="F30" s="36">
        <v>80000</v>
      </c>
      <c r="G30" s="31">
        <f>F30*21/1000</f>
        <v>1680</v>
      </c>
      <c r="H30" s="20"/>
      <c r="I30" s="46" t="s">
        <v>88</v>
      </c>
      <c r="J30" s="36">
        <v>72000</v>
      </c>
      <c r="K30" s="31">
        <f>J30*2.4/1000</f>
        <v>172.8</v>
      </c>
      <c r="L30" s="22"/>
      <c r="M30" s="23" t="s">
        <v>78</v>
      </c>
      <c r="N30" s="27">
        <v>75000</v>
      </c>
      <c r="O30" s="25">
        <f>N30*5.26/1000</f>
        <v>394.5</v>
      </c>
      <c r="P30" s="2"/>
      <c r="Q30" s="3"/>
    </row>
    <row r="31" spans="1:17" ht="11.65" customHeight="1" x14ac:dyDescent="0.25">
      <c r="A31" s="23">
        <v>12</v>
      </c>
      <c r="B31" s="24">
        <v>71000</v>
      </c>
      <c r="C31" s="25">
        <f>B31*1.21/1000</f>
        <v>85.91</v>
      </c>
      <c r="D31" s="20"/>
      <c r="E31" s="29">
        <v>1</v>
      </c>
      <c r="F31" s="36">
        <v>80000</v>
      </c>
      <c r="G31" s="31">
        <f>F31*26/1000</f>
        <v>2080</v>
      </c>
      <c r="H31" s="20"/>
      <c r="I31" s="46" t="s">
        <v>19</v>
      </c>
      <c r="J31" s="36">
        <v>72000</v>
      </c>
      <c r="K31" s="31">
        <f>J31*3.1/1000</f>
        <v>223.2</v>
      </c>
      <c r="L31" s="22"/>
      <c r="M31" s="23" t="s">
        <v>73</v>
      </c>
      <c r="N31" s="27">
        <v>78000</v>
      </c>
      <c r="O31" s="25">
        <f>N31*3.62/1000</f>
        <v>282.36</v>
      </c>
      <c r="P31" s="2"/>
      <c r="Q31" s="3"/>
    </row>
    <row r="32" spans="1:17" ht="11.65" customHeight="1" x14ac:dyDescent="0.25">
      <c r="A32" s="23">
        <v>14</v>
      </c>
      <c r="B32" s="24">
        <v>71000</v>
      </c>
      <c r="C32" s="25">
        <f>B32*1.6/1000</f>
        <v>113.6</v>
      </c>
      <c r="D32" s="20"/>
      <c r="E32" s="29">
        <v>1.2</v>
      </c>
      <c r="F32" s="36">
        <v>80000</v>
      </c>
      <c r="G32" s="31">
        <f>F32*31/1000</f>
        <v>2480</v>
      </c>
      <c r="H32" s="20"/>
      <c r="I32" s="46" t="s">
        <v>47</v>
      </c>
      <c r="J32" s="36">
        <v>69000</v>
      </c>
      <c r="K32" s="31">
        <f>J32*3.85/1000</f>
        <v>265.64999999999998</v>
      </c>
      <c r="L32" s="22"/>
      <c r="M32" s="23" t="s">
        <v>25</v>
      </c>
      <c r="N32" s="27">
        <v>78000</v>
      </c>
      <c r="O32" s="25">
        <f>N32*4.3/1000</f>
        <v>335.4</v>
      </c>
      <c r="P32" s="2"/>
      <c r="Q32" s="3"/>
    </row>
    <row r="33" spans="1:17" ht="11.65" customHeight="1" x14ac:dyDescent="0.25">
      <c r="A33" s="23">
        <v>16</v>
      </c>
      <c r="B33" s="24">
        <v>71000</v>
      </c>
      <c r="C33" s="25">
        <f>B33*2.1/1000</f>
        <v>149.1</v>
      </c>
      <c r="D33" s="20"/>
      <c r="E33" s="29"/>
      <c r="F33" s="36"/>
      <c r="G33" s="31"/>
      <c r="H33" s="20"/>
      <c r="I33" s="65"/>
      <c r="J33" s="64"/>
      <c r="K33" s="66"/>
      <c r="L33" s="22"/>
      <c r="M33" s="23" t="s">
        <v>85</v>
      </c>
      <c r="N33" s="27">
        <v>80000</v>
      </c>
      <c r="O33" s="25">
        <f>N33*6/1000</f>
        <v>480</v>
      </c>
      <c r="P33" s="2"/>
      <c r="Q33" s="3"/>
    </row>
    <row r="34" spans="1:17" ht="11.65" customHeight="1" x14ac:dyDescent="0.25">
      <c r="A34" s="23">
        <v>20</v>
      </c>
      <c r="B34" s="24"/>
      <c r="C34" s="25">
        <f>B34*3.2/1000</f>
        <v>0</v>
      </c>
      <c r="D34" s="20"/>
      <c r="E34" s="29">
        <v>1.5</v>
      </c>
      <c r="F34" s="36">
        <v>80000</v>
      </c>
      <c r="G34" s="31">
        <f>F34*39/1000</f>
        <v>3120</v>
      </c>
      <c r="H34" s="20"/>
      <c r="I34" s="72" t="s">
        <v>49</v>
      </c>
      <c r="J34" s="73"/>
      <c r="K34" s="19" t="s">
        <v>52</v>
      </c>
      <c r="L34" s="22"/>
      <c r="M34" s="23" t="s">
        <v>84</v>
      </c>
      <c r="N34" s="27">
        <v>72000</v>
      </c>
      <c r="O34" s="25">
        <f>N34*7.3/1000</f>
        <v>525.6</v>
      </c>
      <c r="P34" s="2"/>
      <c r="Q34" s="3"/>
    </row>
    <row r="35" spans="1:17" ht="11.65" customHeight="1" x14ac:dyDescent="0.25">
      <c r="A35" s="72" t="s">
        <v>37</v>
      </c>
      <c r="B35" s="73"/>
      <c r="C35" s="19" t="s">
        <v>52</v>
      </c>
      <c r="D35" s="20"/>
      <c r="E35" s="29">
        <v>2</v>
      </c>
      <c r="F35" s="36">
        <v>80000</v>
      </c>
      <c r="G35" s="31">
        <f>F35*51/1000</f>
        <v>4080</v>
      </c>
      <c r="H35" s="20"/>
      <c r="I35" s="45" t="s">
        <v>20</v>
      </c>
      <c r="J35" s="43">
        <v>35000</v>
      </c>
      <c r="K35" s="44">
        <f>J35*0.62/1000</f>
        <v>21.7</v>
      </c>
      <c r="L35" s="22"/>
      <c r="M35" s="23" t="s">
        <v>79</v>
      </c>
      <c r="N35" s="27">
        <v>75000</v>
      </c>
      <c r="O35" s="25">
        <f>N35*9.37/1000</f>
        <v>702.74999999999989</v>
      </c>
      <c r="P35" s="2"/>
      <c r="Q35" s="3"/>
    </row>
    <row r="36" spans="1:17" ht="11.65" customHeight="1" x14ac:dyDescent="0.25">
      <c r="A36" s="23" t="s">
        <v>17</v>
      </c>
      <c r="B36" s="27">
        <v>80000</v>
      </c>
      <c r="C36" s="25">
        <f>B36*0.65/1000</f>
        <v>52</v>
      </c>
      <c r="D36" s="20"/>
      <c r="E36" s="29">
        <v>3</v>
      </c>
      <c r="F36" s="36">
        <v>80000</v>
      </c>
      <c r="G36" s="31">
        <f>F36*76/1000</f>
        <v>6080</v>
      </c>
      <c r="H36" s="20"/>
      <c r="I36" s="26" t="s">
        <v>86</v>
      </c>
      <c r="J36" s="27">
        <v>72000</v>
      </c>
      <c r="K36" s="28">
        <f>J36*4.63/1000</f>
        <v>333.36</v>
      </c>
      <c r="L36" s="22"/>
      <c r="M36" s="23"/>
      <c r="N36" s="27"/>
      <c r="O36" s="25"/>
      <c r="P36" s="2"/>
      <c r="Q36" s="3"/>
    </row>
    <row r="37" spans="1:17" ht="11.65" customHeight="1" x14ac:dyDescent="0.25">
      <c r="A37" s="26" t="s">
        <v>0</v>
      </c>
      <c r="B37" s="27">
        <v>78000</v>
      </c>
      <c r="C37" s="25">
        <f>B37*0.811/1000</f>
        <v>63.25800000000001</v>
      </c>
      <c r="D37" s="20"/>
      <c r="E37" s="60" t="s">
        <v>51</v>
      </c>
      <c r="F37" s="61"/>
      <c r="G37" s="34" t="s">
        <v>53</v>
      </c>
      <c r="H37" s="20"/>
      <c r="I37" s="26" t="s">
        <v>74</v>
      </c>
      <c r="J37" s="27">
        <v>72000</v>
      </c>
      <c r="K37" s="28">
        <f>J37*6.26/1000</f>
        <v>450.72</v>
      </c>
      <c r="L37" s="22"/>
      <c r="M37" s="23" t="s">
        <v>18</v>
      </c>
      <c r="N37" s="27">
        <v>73000</v>
      </c>
      <c r="O37" s="25">
        <f>N37*9.023/1000</f>
        <v>658.67899999999997</v>
      </c>
      <c r="P37" s="2"/>
      <c r="Q37" s="3"/>
    </row>
    <row r="38" spans="1:17" ht="11.65" customHeight="1" x14ac:dyDescent="0.25">
      <c r="A38" s="26" t="s">
        <v>2</v>
      </c>
      <c r="B38" s="27">
        <v>76000</v>
      </c>
      <c r="C38" s="25">
        <f>B38*1.31/1000</f>
        <v>99.56</v>
      </c>
      <c r="D38" s="20"/>
      <c r="E38" s="29" t="s">
        <v>29</v>
      </c>
      <c r="F38" s="30">
        <v>82000</v>
      </c>
      <c r="G38" s="31">
        <f>F38*80/1000</f>
        <v>6560</v>
      </c>
      <c r="H38" s="20"/>
      <c r="I38" s="26" t="s">
        <v>75</v>
      </c>
      <c r="J38" s="27">
        <v>72000</v>
      </c>
      <c r="K38" s="28">
        <f>J38*7.4/1000</f>
        <v>532.79999999999995</v>
      </c>
      <c r="L38" s="22"/>
      <c r="M38" s="23" t="s">
        <v>80</v>
      </c>
      <c r="N38" s="27">
        <v>75000</v>
      </c>
      <c r="O38" s="25">
        <f>N38*11.85/1000</f>
        <v>888.75</v>
      </c>
      <c r="P38" s="2"/>
      <c r="Q38" s="3"/>
    </row>
    <row r="39" spans="1:17" ht="11.65" customHeight="1" x14ac:dyDescent="0.25">
      <c r="A39" s="26" t="s">
        <v>4</v>
      </c>
      <c r="B39" s="27">
        <v>76000</v>
      </c>
      <c r="C39" s="25">
        <f>B39*1.61/1000</f>
        <v>122.36000000000001</v>
      </c>
      <c r="D39" s="20"/>
      <c r="E39" s="29" t="s">
        <v>30</v>
      </c>
      <c r="F39" s="30">
        <v>82000</v>
      </c>
      <c r="G39" s="31">
        <f>F39*300/1000</f>
        <v>24600</v>
      </c>
      <c r="H39" s="20"/>
      <c r="I39" s="26" t="s">
        <v>22</v>
      </c>
      <c r="J39" s="27">
        <v>72000</v>
      </c>
      <c r="K39" s="28">
        <f>J39*9.1/1000</f>
        <v>655.20000000000005</v>
      </c>
      <c r="L39" s="22"/>
      <c r="M39" s="32"/>
      <c r="N39" s="57"/>
      <c r="O39" s="33"/>
      <c r="P39" s="2"/>
      <c r="Q39" s="3"/>
    </row>
    <row r="40" spans="1:17" ht="11.65" customHeight="1" x14ac:dyDescent="0.25">
      <c r="A40" s="23" t="s">
        <v>5</v>
      </c>
      <c r="B40" s="27">
        <v>76000</v>
      </c>
      <c r="C40" s="25">
        <f>B40*2.11/1000</f>
        <v>160.36000000000001</v>
      </c>
      <c r="D40" s="20"/>
      <c r="E40" s="47" t="s">
        <v>31</v>
      </c>
      <c r="F40" s="30">
        <v>85000</v>
      </c>
      <c r="G40" s="48">
        <f>F40*370/1000</f>
        <v>31450</v>
      </c>
      <c r="H40" s="20"/>
      <c r="I40" s="26" t="s">
        <v>83</v>
      </c>
      <c r="J40" s="27">
        <v>60000</v>
      </c>
      <c r="K40" s="28">
        <f>J40*11/1000</f>
        <v>660</v>
      </c>
      <c r="L40" s="22"/>
      <c r="M40" s="58" t="s">
        <v>59</v>
      </c>
      <c r="N40" s="63"/>
      <c r="O40" s="59"/>
      <c r="P40" s="2"/>
      <c r="Q40" s="3"/>
    </row>
    <row r="41" spans="1:17" ht="11.65" customHeight="1" x14ac:dyDescent="0.25">
      <c r="A41" s="72" t="s">
        <v>38</v>
      </c>
      <c r="B41" s="74"/>
      <c r="C41" s="73"/>
      <c r="D41" s="20"/>
      <c r="E41" s="60" t="s">
        <v>56</v>
      </c>
      <c r="F41" s="61"/>
      <c r="G41" s="34" t="s">
        <v>53</v>
      </c>
      <c r="H41" s="20"/>
      <c r="I41" s="26" t="s">
        <v>26</v>
      </c>
      <c r="J41" s="27">
        <v>72000</v>
      </c>
      <c r="K41" s="28">
        <f>J41*11.2/1000</f>
        <v>806.4</v>
      </c>
      <c r="L41" s="22"/>
      <c r="M41" s="23" t="s">
        <v>94</v>
      </c>
      <c r="N41" s="49" t="s">
        <v>97</v>
      </c>
      <c r="O41" s="49" t="s">
        <v>96</v>
      </c>
      <c r="P41" s="2"/>
      <c r="Q41" s="3"/>
    </row>
    <row r="42" spans="1:17" ht="11.65" customHeight="1" x14ac:dyDescent="0.25">
      <c r="A42" s="46">
        <v>1.2</v>
      </c>
      <c r="B42" s="46">
        <v>135000</v>
      </c>
      <c r="C42" s="46" t="s">
        <v>23</v>
      </c>
      <c r="D42" s="20"/>
      <c r="E42" s="29">
        <v>1.5</v>
      </c>
      <c r="F42" s="30">
        <v>81000</v>
      </c>
      <c r="G42" s="31">
        <f>F42*40/1000</f>
        <v>3240</v>
      </c>
      <c r="H42" s="20"/>
      <c r="I42" s="26" t="s">
        <v>57</v>
      </c>
      <c r="J42" s="27">
        <v>72000</v>
      </c>
      <c r="K42" s="28">
        <f>J42*12.78/1000</f>
        <v>920.16</v>
      </c>
      <c r="L42" s="22"/>
      <c r="M42" s="23" t="s">
        <v>101</v>
      </c>
      <c r="N42" s="49" t="s">
        <v>95</v>
      </c>
      <c r="O42" s="49" t="s">
        <v>99</v>
      </c>
      <c r="P42" s="2"/>
      <c r="Q42" s="3"/>
    </row>
    <row r="43" spans="1:17" ht="11.65" customHeight="1" x14ac:dyDescent="0.25">
      <c r="A43" s="41" t="s">
        <v>45</v>
      </c>
      <c r="B43" s="41">
        <v>47500</v>
      </c>
      <c r="C43" s="41" t="s">
        <v>23</v>
      </c>
      <c r="D43" s="20"/>
      <c r="E43" s="29">
        <v>2</v>
      </c>
      <c r="F43" s="30">
        <v>80000</v>
      </c>
      <c r="G43" s="31">
        <f>F43*51/1000</f>
        <v>4080</v>
      </c>
      <c r="H43" s="20"/>
      <c r="I43" s="26" t="s">
        <v>58</v>
      </c>
      <c r="J43" s="27">
        <v>72000</v>
      </c>
      <c r="K43" s="28">
        <f>J43*15.3/1000</f>
        <v>1101.5999999999999</v>
      </c>
      <c r="L43" s="22"/>
      <c r="M43" s="23" t="s">
        <v>102</v>
      </c>
      <c r="N43" s="49" t="s">
        <v>98</v>
      </c>
      <c r="O43" s="49" t="s">
        <v>100</v>
      </c>
      <c r="P43" s="2"/>
      <c r="Q43" s="3"/>
    </row>
    <row r="44" spans="1:17" ht="11.65" customHeight="1" x14ac:dyDescent="0.25">
      <c r="A44" s="67" t="s">
        <v>46</v>
      </c>
      <c r="B44" s="68"/>
      <c r="C44" s="69"/>
      <c r="D44" s="20"/>
      <c r="E44" s="29">
        <v>3</v>
      </c>
      <c r="F44" s="30">
        <v>80000</v>
      </c>
      <c r="G44" s="31">
        <f>F44*79/1000</f>
        <v>6320</v>
      </c>
      <c r="H44" s="20"/>
      <c r="I44" s="4"/>
      <c r="J44" s="5"/>
      <c r="K44" s="6"/>
      <c r="L44" s="22"/>
      <c r="M44" s="15"/>
      <c r="N44" s="16"/>
      <c r="O44" s="16"/>
      <c r="P44" s="2"/>
      <c r="Q44" s="3"/>
    </row>
    <row r="45" spans="1:17" ht="11.65" customHeight="1" x14ac:dyDescent="0.25">
      <c r="A45" s="12"/>
      <c r="B45" s="12"/>
      <c r="C45" s="12"/>
      <c r="D45" s="10"/>
      <c r="E45" s="62"/>
      <c r="F45" s="62"/>
      <c r="G45" s="62"/>
      <c r="H45" s="10"/>
      <c r="I45" s="62"/>
      <c r="J45" s="62"/>
      <c r="K45" s="62"/>
      <c r="L45" s="11"/>
      <c r="M45" s="62"/>
      <c r="N45" s="62"/>
      <c r="O45" s="62"/>
      <c r="P45" s="2"/>
      <c r="Q45" s="3"/>
    </row>
    <row r="46" spans="1:17" ht="36" customHeight="1" x14ac:dyDescent="0.25">
      <c r="A46" s="62"/>
      <c r="B46" s="62"/>
      <c r="C46" s="62"/>
      <c r="D46" s="62"/>
      <c r="E46" s="56"/>
      <c r="G46" s="56"/>
      <c r="H46" s="62"/>
      <c r="I46" s="56"/>
      <c r="J46" s="56"/>
      <c r="K46" s="56"/>
      <c r="L46" s="62"/>
      <c r="M46" s="56"/>
      <c r="N46" s="56"/>
      <c r="O46" s="56"/>
      <c r="P46" s="2"/>
      <c r="Q46" s="3"/>
    </row>
    <row r="47" spans="1:17" ht="11.65" customHeight="1" x14ac:dyDescent="0.25">
      <c r="A47" s="56"/>
      <c r="C47" s="56"/>
      <c r="D47" s="56"/>
      <c r="E47" s="56"/>
      <c r="F47" s="56"/>
      <c r="G47" s="56"/>
      <c r="H47" s="56"/>
      <c r="I47" s="4"/>
      <c r="J47" s="5"/>
      <c r="K47" s="6"/>
      <c r="L47" s="56"/>
      <c r="M47" s="15"/>
      <c r="N47" s="16"/>
      <c r="O47" s="16"/>
      <c r="P47" s="2"/>
      <c r="Q47" s="3"/>
    </row>
    <row r="48" spans="1:17" ht="11.65" customHeight="1" x14ac:dyDescent="0.25">
      <c r="A48" s="12"/>
      <c r="B48" s="12"/>
      <c r="C48" s="12"/>
      <c r="D48" s="10"/>
      <c r="E48" s="7"/>
      <c r="F48" s="1"/>
      <c r="G48" s="8"/>
      <c r="H48" s="10"/>
      <c r="L48" s="11"/>
      <c r="P48" s="2"/>
      <c r="Q48" s="3"/>
    </row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</sheetData>
  <mergeCells count="20">
    <mergeCell ref="N1:O3"/>
    <mergeCell ref="A17:B17"/>
    <mergeCell ref="I16:J16"/>
    <mergeCell ref="E5:F5"/>
    <mergeCell ref="M5:N5"/>
    <mergeCell ref="I5:J5"/>
    <mergeCell ref="A5:B5"/>
    <mergeCell ref="A7:B7"/>
    <mergeCell ref="B1:G1"/>
    <mergeCell ref="B2:G2"/>
    <mergeCell ref="I2:M2"/>
    <mergeCell ref="I3:M3"/>
    <mergeCell ref="I1:M1"/>
    <mergeCell ref="A44:C44"/>
    <mergeCell ref="I24:J24"/>
    <mergeCell ref="I27:J27"/>
    <mergeCell ref="I34:J34"/>
    <mergeCell ref="A41:C41"/>
    <mergeCell ref="A29:B29"/>
    <mergeCell ref="A35:B35"/>
  </mergeCells>
  <hyperlinks>
    <hyperlink ref="I3" r:id="rId1" xr:uid="{00000000-0004-0000-0000-000000000000}"/>
  </hyperlinks>
  <pageMargins left="0.31496062992125984" right="0.31496062992125984" top="0.35433070866141736" bottom="0.35433070866141736" header="0.31496062992125984" footer="0.31496062992125984"/>
  <pageSetup paperSize="9" orientation="landscape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12" sqref="D12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2023-07-20T06:15:33Z</dcterms:modified>
</cp:coreProperties>
</file>